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393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<sst xmlns="http://schemas.openxmlformats.org/spreadsheetml/2006/main" count="224" uniqueCount="191">
  <si>
    <t>Trein stoppen kost ook energie</t>
  </si>
  <si>
    <t>kg</t>
  </si>
  <si>
    <t>km/u</t>
  </si>
  <si>
    <t>m/s</t>
  </si>
  <si>
    <t>J</t>
  </si>
  <si>
    <t>Efficientie trein</t>
  </si>
  <si>
    <t>Passagiers-kilometers in 2023</t>
  </si>
  <si>
    <t>Bron: https://www.belgiantrain.be/-/media/corporate/pdfs/sncb_rapport_activite_2023_nl.ashx?v=3ba4f2737ca34e82aec7063a4df269de&amp;la=nl&amp;hash=1BF2C444ACCC7ABA548920F031C87744C9359081</t>
  </si>
  <si>
    <t>TJ in 2023</t>
  </si>
  <si>
    <t>Passagiers-kilometers per GJ</t>
  </si>
  <si>
    <t>J / passagierskm</t>
  </si>
  <si>
    <t>Efficientie auto</t>
  </si>
  <si>
    <t>120000000000</t>
  </si>
  <si>
    <t>Passagiers-kilometers in 2016</t>
  </si>
  <si>
    <t>Bron: https://ourworldindata.org/grapher/annual-reported-passenger-kilometers?time=latest&amp;country=~BEL</t>
  </si>
  <si>
    <t>auto's</t>
  </si>
  <si>
    <t>Berekening</t>
  </si>
  <si>
    <t>km/auto/jaar</t>
  </si>
  <si>
    <t>inzittenden per auto</t>
  </si>
  <si>
    <t xml:space="preserve">Sanity Check: https://ourworldindata.org/travel-carbon-footprint </t>
  </si>
  <si>
    <t>Haven van Antwerpen</t>
  </si>
  <si>
    <t>PJ</t>
  </si>
  <si>
    <t>Bron: https://circularports.vlaanderen-circulair.be/wp-content/uploads/2023/01/sustainability-report-2019-port-of-antwerp-be-en.pdf</t>
  </si>
  <si>
    <t>MW</t>
  </si>
  <si>
    <t>Wind turbine capacity</t>
  </si>
  <si>
    <t>Bron: https://www.portofantwerpbruges.com/energie-van-morgen-nu-de-haven</t>
  </si>
  <si>
    <t>u/jaar</t>
  </si>
  <si>
    <t>CF</t>
  </si>
  <si>
    <t>MWh</t>
  </si>
  <si>
    <t>Bron: https://totalenergies.be/nl/particulieren/blog/actualiteit/batterijpark-belgie-slaat-stroom-voor-10000-gezinnen-op</t>
  </si>
  <si>
    <t>Opslag</t>
  </si>
  <si>
    <t>Bron: https://corporate.engie.be/en/energy/water/coo-pumped-storage-power-station</t>
  </si>
  <si>
    <t>ESTIMATED!</t>
  </si>
  <si>
    <t>Based on the same 6h runtime as COO</t>
  </si>
  <si>
    <t>Total BESS storage</t>
  </si>
  <si>
    <t>Bron: https://www.degaullefleurance.com/en/actualites/electricity-storage-the-challenges-of-tomorrow</t>
  </si>
  <si>
    <t>https://www.elia.be/nl/klanten/aansluiting/onthaalcapaciteit-van-het-net</t>
  </si>
  <si>
    <t>Wind</t>
  </si>
  <si>
    <t>Bron: https://economie.fgov.be/nl/themas/energie/bronnen-en-dragers-van-energie/belgische-windenergie-op-zee</t>
  </si>
  <si>
    <t>GW</t>
  </si>
  <si>
    <t>Huidige capaciteit</t>
  </si>
  <si>
    <t>Nieuwe capaciteit PEZ</t>
  </si>
  <si>
    <t>TWh</t>
  </si>
  <si>
    <t>Productie offshore in 2023</t>
  </si>
  <si>
    <t>Capacity Factor</t>
  </si>
  <si>
    <t>GWh</t>
  </si>
  <si>
    <t>Productie offshore in 2023 (andere manier berekend)</t>
  </si>
  <si>
    <t>Geschatte productie voor PEZ indien zelfde CF als huidige zone</t>
  </si>
  <si>
    <t>Nucleair</t>
  </si>
  <si>
    <t>Bron: https://world-nuclear.org/information-library/country-profiles/countries-a-f/belgium</t>
  </si>
  <si>
    <t>Capaciteit in 2023</t>
  </si>
  <si>
    <t>Theoretische productiecapaciteit</t>
  </si>
  <si>
    <t>Elektriciteit tov van totaal</t>
  </si>
  <si>
    <t>%</t>
  </si>
  <si>
    <t>Gebaseerd op de andere excel file van fodeconomie, zie formule</t>
  </si>
  <si>
    <t>Aviation</t>
  </si>
  <si>
    <t>litres of fuel per 100 passenger kilometres</t>
  </si>
  <si>
    <t>https://www.easa.europa.eu/en/domains/environment/eaer/overview-aviation-sector</t>
  </si>
  <si>
    <t>MJ/L</t>
  </si>
  <si>
    <t>https://en.wikipedia.org/wiki/Energy_density</t>
  </si>
  <si>
    <t>I'm sorry, but for something this basic, Wikipedia is a source. Sue me.</t>
  </si>
  <si>
    <t>MJ / 100 passenger kilometers</t>
  </si>
  <si>
    <t>miljard passagier-kilometers gevlogen door belgen</t>
  </si>
  <si>
    <t>https://mobilit.belgium.be/nl/publications/de-reizen-van-de-belgen</t>
  </si>
  <si>
    <t>MJ</t>
  </si>
  <si>
    <t>MJ / 100 passagier-km</t>
  </si>
  <si>
    <t>CO2</t>
  </si>
  <si>
    <t>Energy</t>
  </si>
  <si>
    <t>% of CO2 is energy</t>
  </si>
  <si>
    <t>https://climat.be/doc/belgiums-greenhouse-gas-inventory-1990-2023.pdf</t>
  </si>
  <si>
    <t>Table on page 7</t>
  </si>
  <si>
    <t>Industrial use</t>
  </si>
  <si>
    <t>Agriculture</t>
  </si>
  <si>
    <t>LULUCF</t>
  </si>
  <si>
    <t>Waste</t>
  </si>
  <si>
    <t>Offshore BOTN</t>
  </si>
  <si>
    <t>hectare EEZ Belgie Noordzee</t>
  </si>
  <si>
    <t>Source: check forumla, statbel landuse</t>
  </si>
  <si>
    <t>km2</t>
  </si>
  <si>
    <t>Current capacity / current zone size</t>
  </si>
  <si>
    <t>https://www.belgianoffshoreplatform.be/en/projects/</t>
  </si>
  <si>
    <t>Current size</t>
  </si>
  <si>
    <t>MW/km2</t>
  </si>
  <si>
    <t>Geschatte maximumproductie offshore wind</t>
  </si>
  <si>
    <t>Onshore BOTN</t>
  </si>
  <si>
    <t>km2 Landbouwgrond in Belgie</t>
  </si>
  <si>
    <t>Capacity Factor Onshore</t>
  </si>
  <si>
    <t>https://iea-wind.org/wp-content/uploads/2023/11/ECWE_2022.pdf</t>
  </si>
  <si>
    <t>Density onshore</t>
  </si>
  <si>
    <t>https://south.euneighbours.eu/wp-content/uploads/2025/04/JRC139999_01.pdf</t>
  </si>
  <si>
    <t>Solar BOTN</t>
  </si>
  <si>
    <t>km2 Woongebied in Belgie</t>
  </si>
  <si>
    <t>km2 Nijverheidsgebouwen</t>
  </si>
  <si>
    <t>km2 Handelsgebouwen</t>
  </si>
  <si>
    <t>km2 Openbare gebouwen</t>
  </si>
  <si>
    <t>km2 totaal</t>
  </si>
  <si>
    <t>W/m2</t>
  </si>
  <si>
    <t>Capacity Factor Solar</t>
  </si>
  <si>
    <t>Check formula, based on fodeconomie numbers, but agrees with Energyville report</t>
  </si>
  <si>
    <t>Maar half het dak is echt nuttig, of ligt in schaduw, etc</t>
  </si>
  <si>
    <t>EnergyVille</t>
  </si>
  <si>
    <t>https://energyville.be/en/blogs/how-much-renewable-electricity-can-be-generated-within-the-belgian-borders/</t>
  </si>
  <si>
    <t>TWh onshore wind potential</t>
  </si>
  <si>
    <t>TWh offshore wind potential</t>
  </si>
  <si>
    <t>TWh solar potential</t>
  </si>
  <si>
    <t>ICE vs Electric</t>
  </si>
  <si>
    <t>L/100km</t>
  </si>
  <si>
    <t>My own Volvo v40</t>
  </si>
  <si>
    <t>https://nl.wikipedia.org/wiki/Benzine#Energetische_waarde</t>
  </si>
  <si>
    <t>MJ/100km</t>
  </si>
  <si>
    <t>Wh/km</t>
  </si>
  <si>
    <t>https://ev-database.org/car/3160/Volvo-EX40-Twin-Motor</t>
  </si>
  <si>
    <t>Wh/100km</t>
  </si>
  <si>
    <t>For volvo v40 vs volvo ex40</t>
  </si>
  <si>
    <t>https://ev-database.org/car/3034/Tesla-Model-3-Long-Range-RWD</t>
  </si>
  <si>
    <t>Most efficient EV in production at the time of writing</t>
  </si>
  <si>
    <t>For volvo v40 vs tesla model 3</t>
  </si>
  <si>
    <t>EnergyVille 2050 outlook</t>
  </si>
  <si>
    <t>https://perspective2050.energyville.be/results/main-edition-2025</t>
  </si>
  <si>
    <t>Min methane estimate</t>
  </si>
  <si>
    <t>Max methane estimate</t>
  </si>
  <si>
    <t>TWh Gewoon methaangas</t>
  </si>
  <si>
    <t>TWh Imported Clean Molecules</t>
  </si>
  <si>
    <t>TWh locally produces clean molecules</t>
  </si>
  <si>
    <t>TWh heat networks</t>
  </si>
  <si>
    <t>TWh efficiency gains</t>
  </si>
  <si>
    <t>Voedsel nodig als mens</t>
  </si>
  <si>
    <t>kcal</t>
  </si>
  <si>
    <t>Car km</t>
  </si>
  <si>
    <t>miljoen liter benzine</t>
  </si>
  <si>
    <t>Intro</t>
  </si>
  <si>
    <t>Wh</t>
  </si>
  <si>
    <t>Costs</t>
  </si>
  <si>
    <t>Hot water</t>
  </si>
  <si>
    <t>% of home use at least is heating water</t>
  </si>
  <si>
    <t>Electric Bike</t>
  </si>
  <si>
    <t>Wh / km</t>
  </si>
  <si>
    <t>https://www.anwb.nl/energie/energieverbruik/hoeveel-stroom-verbruikt-een-elektrische-fiets</t>
  </si>
  <si>
    <t>MJ/km</t>
  </si>
  <si>
    <t>keer efficienter dan ICE</t>
  </si>
  <si>
    <t>Datacenters</t>
  </si>
  <si>
    <t>TWh 2025</t>
  </si>
  <si>
    <t>https://www.hln.be/binnenland/in-2035-zullen-datacentra-10-procent-van-belgische-elektriciteit-verbruiken~a9d50c71/#:~:text=Vorig%20jaar%20hebben%20de%20Belgische,Europese%20gemiddelde%20van%202%20procent.</t>
  </si>
  <si>
    <t>TWh 2050</t>
  </si>
  <si>
    <t>Vehicle to Grid</t>
  </si>
  <si>
    <t>kWh gemiddelde batterijgrootte</t>
  </si>
  <si>
    <t>Elektrische auto's op de baan vandaag</t>
  </si>
  <si>
    <t>https://statbel.fgov.be/nl/themas/mobiliteit/verkeer/voertuigenpark</t>
  </si>
  <si>
    <t>Auto's in Belgie</t>
  </si>
  <si>
    <t>% elektrische wagens</t>
  </si>
  <si>
    <t>kWh in huidige EV park</t>
  </si>
  <si>
    <t>kWh moest alles EV zijn</t>
  </si>
  <si>
    <t>Olie zonder grondstoffen</t>
  </si>
  <si>
    <t>TJ oil in 2023</t>
  </si>
  <si>
    <t>TJ oil used as input resource in 2023</t>
  </si>
  <si>
    <t>TJ oil used as energy in 2023</t>
  </si>
  <si>
    <t>TJ of fossil fuels in 2023</t>
  </si>
  <si>
    <t>EnergyVille Nuclear</t>
  </si>
  <si>
    <t>GW additional capacity by 2050 in SMRs and EPR</t>
  </si>
  <si>
    <t>Grand total</t>
  </si>
  <si>
    <t>TJ in 2023 without resource use</t>
  </si>
  <si>
    <t>Green electricity</t>
  </si>
  <si>
    <t>TWh nucleair</t>
  </si>
  <si>
    <t>TWh hernieuwbaar</t>
  </si>
  <si>
    <t>TWh totaal elek</t>
  </si>
  <si>
    <t>% van elektriciteit uit nucleair</t>
  </si>
  <si>
    <t>% van elektriciteit uit hernieuwbaar</t>
  </si>
  <si>
    <t>% low carbon</t>
  </si>
  <si>
    <t>% energie uit niet fossiel</t>
  </si>
  <si>
    <t>% energie uit hernieuwbaar</t>
  </si>
  <si>
    <t>% energie uit nucleair</t>
  </si>
  <si>
    <t>% fossiel</t>
  </si>
  <si>
    <t>Own solar</t>
  </si>
  <si>
    <t>zonnepanelen</t>
  </si>
  <si>
    <t>MWh in juli 2025</t>
  </si>
  <si>
    <t>MWh / dag in juli 2025</t>
  </si>
  <si>
    <t>MWh / dag / paneel in juli 2025</t>
  </si>
  <si>
    <t>MWh / dag / persoon ruwweg</t>
  </si>
  <si>
    <t>panelen in juli 2025</t>
  </si>
  <si>
    <t>MWh in dec 2025</t>
  </si>
  <si>
    <t>MWh / dag in dec 2025</t>
  </si>
  <si>
    <t>MWh / dag / paneel in dec 2025</t>
  </si>
  <si>
    <t>panelen in dec 2025</t>
  </si>
  <si>
    <t>euro per paneel</t>
  </si>
  <si>
    <t>euro</t>
  </si>
  <si>
    <t>m2 per paneel</t>
  </si>
  <si>
    <t>m2</t>
  </si>
  <si>
    <t>Efficiency electric car in Belgium</t>
  </si>
  <si>
    <t>Wh per pkm Tesla Model 3</t>
  </si>
  <si>
    <t>Wh per pkm BMW iX2 xDrive30</t>
  </si>
  <si>
    <t>Wh per pkm Mercedes-Benz EQS SUV 500 4MATIC</t>
  </si>
</sst>
</file>

<file path=xl/styles.xml><?xml version="1.0" encoding="utf-8"?>
<styleSheet xmlns="http://schemas.openxmlformats.org/spreadsheetml/2006/main">
  <numFmts count="7">
    <numFmt numFmtId="176" formatCode="0.0"/>
    <numFmt numFmtId="177" formatCode="0.00_);[Red]\(0.00\)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78" formatCode="0.00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374649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48">
      <alignment vertical="center"/>
    </xf>
    <xf numFmtId="176" fontId="0" fillId="0" borderId="0" xfId="0" applyNumberFormat="1" applyFont="1" applyFill="1" applyAlignment="1"/>
    <xf numFmtId="178" fontId="0" fillId="0" borderId="0" xfId="0" applyNumberFormat="1">
      <alignment vertical="center"/>
    </xf>
    <xf numFmtId="0" fontId="4" fillId="0" borderId="0" xfId="48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177" fontId="0" fillId="0" borderId="0" xfId="0" applyNumberFormat="1" quotePrefix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deconom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anduse_statb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 Primaire energie cons"/>
      <sheetName val="1.2.1 Finale energie cons"/>
      <sheetName val="1.2.2 Finale cons per sector"/>
      <sheetName val="1.3.1 HEB"/>
      <sheetName val="1.3.x HEB transport"/>
      <sheetName val="1.3.2 EE"/>
      <sheetName val="2.1 Cons huishoudens"/>
      <sheetName val="2.2 Cons industrie"/>
      <sheetName val="1.2.4 Regionale brandstof"/>
      <sheetName val="2.3 Cons transport"/>
      <sheetName val="2.3 Cons transport detail"/>
      <sheetName val="3.1 Energie prod"/>
      <sheetName val="3.2 Elektriciteitsprod"/>
      <sheetName val="3.3 HEB elektriciteit"/>
      <sheetName val="3.3 Wind elektriciteit"/>
      <sheetName val="3.4 Capaciteit"/>
      <sheetName val="4.1 Invoer energie"/>
      <sheetName val="4.2.1 Invoer ruwe aardolie"/>
      <sheetName val="4.2.2 Invoer aardgas"/>
      <sheetName val="4.3 Invoer elek"/>
      <sheetName val="4.1 Prijs aardgas_old"/>
      <sheetName val="5.1 Prijs aardgas"/>
      <sheetName val="5.2 Prijs elek"/>
      <sheetName val="5.3 Prijs aardolie"/>
      <sheetName val="5.4 Samenstelling aardolieprijs"/>
    </sheetNames>
    <sheetDataSet>
      <sheetData sheetId="0"/>
      <sheetData sheetId="1">
        <row r="38">
          <cell r="T38">
            <v>729760.1704</v>
          </cell>
          <cell r="U38">
            <v>375716.733474683</v>
          </cell>
          <cell r="V38">
            <v>26708.7209</v>
          </cell>
          <cell r="W38">
            <v>266182.92</v>
          </cell>
        </row>
        <row r="38">
          <cell r="Z38">
            <v>1524212.96003199</v>
          </cell>
        </row>
      </sheetData>
      <sheetData sheetId="2">
        <row r="38">
          <cell r="V38">
            <v>291507.870746737</v>
          </cell>
        </row>
        <row r="38">
          <cell r="X38">
            <v>275122.656554706</v>
          </cell>
        </row>
      </sheetData>
      <sheetData sheetId="3"/>
      <sheetData sheetId="4"/>
      <sheetData sheetId="5"/>
      <sheetData sheetId="6">
        <row r="12">
          <cell r="C12">
            <v>206541.8842</v>
          </cell>
        </row>
        <row r="12">
          <cell r="E12">
            <v>42896.6348</v>
          </cell>
        </row>
      </sheetData>
      <sheetData sheetId="7"/>
      <sheetData sheetId="8"/>
      <sheetData sheetId="9">
        <row r="6">
          <cell r="E6">
            <v>190921.321537449</v>
          </cell>
        </row>
        <row r="6">
          <cell r="N6">
            <v>421.92</v>
          </cell>
          <cell r="O6">
            <v>3876.1467572</v>
          </cell>
        </row>
      </sheetData>
      <sheetData sheetId="10"/>
      <sheetData sheetId="11"/>
      <sheetData sheetId="12">
        <row r="38">
          <cell r="C38">
            <v>32.9279</v>
          </cell>
        </row>
        <row r="38">
          <cell r="G38">
            <v>27.4729</v>
          </cell>
        </row>
        <row r="38">
          <cell r="O38">
            <v>83.6598</v>
          </cell>
        </row>
      </sheetData>
      <sheetData sheetId="13">
        <row r="38">
          <cell r="D38">
            <v>7.82</v>
          </cell>
        </row>
      </sheetData>
      <sheetData sheetId="14">
        <row r="38">
          <cell r="C38">
            <v>8.0397</v>
          </cell>
        </row>
      </sheetData>
      <sheetData sheetId="15">
        <row r="38">
          <cell r="F38">
            <v>8.3519</v>
          </cell>
        </row>
      </sheetData>
      <sheetData sheetId="16"/>
      <sheetData sheetId="17"/>
      <sheetData sheetId="18"/>
      <sheetData sheetId="19"/>
      <sheetData sheetId="20"/>
      <sheetData sheetId="21">
        <row r="21">
          <cell r="G21">
            <v>10.697184</v>
          </cell>
        </row>
      </sheetData>
      <sheetData sheetId="22">
        <row r="21">
          <cell r="G21">
            <v>40.63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ew Info"/>
      <sheetName val="Data as Cross Table"/>
      <sheetName val="Data as Table"/>
    </sheetNames>
    <sheetDataSet>
      <sheetData sheetId="0"/>
      <sheetData sheetId="1">
        <row r="4">
          <cell r="I4">
            <v>1350623.2956</v>
          </cell>
        </row>
        <row r="10">
          <cell r="I10">
            <v>283498.459600001</v>
          </cell>
        </row>
        <row r="11">
          <cell r="I11">
            <v>59825.2939000002</v>
          </cell>
        </row>
        <row r="13">
          <cell r="I13">
            <v>15267.7928000001</v>
          </cell>
        </row>
        <row r="14">
          <cell r="I14">
            <v>20872.7545000001</v>
          </cell>
        </row>
        <row r="22">
          <cell r="I22">
            <v>345400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nl.wikipedia.org/wiki/Benzine#Energetische_waarde" TargetMode="External"/><Relationship Id="rId8" Type="http://schemas.openxmlformats.org/officeDocument/2006/relationships/hyperlink" Target="https://energyville.be/en/blogs/how-much-renewable-electricity-can-be-generated-within-the-belgian-borders/" TargetMode="External"/><Relationship Id="rId7" Type="http://schemas.openxmlformats.org/officeDocument/2006/relationships/hyperlink" Target="https://iea-wind.org/wp-content/uploads/2023/11/ECWE_2022.pdf" TargetMode="External"/><Relationship Id="rId6" Type="http://schemas.openxmlformats.org/officeDocument/2006/relationships/hyperlink" Target="https://south.euneighbours.eu/wp-content/uploads/2025/04/JRC139999_01.pdf" TargetMode="External"/><Relationship Id="rId5" Type="http://schemas.openxmlformats.org/officeDocument/2006/relationships/hyperlink" Target="https://www.belgianoffshoreplatform.be/en/projects/" TargetMode="External"/><Relationship Id="rId4" Type="http://schemas.openxmlformats.org/officeDocument/2006/relationships/hyperlink" Target="https://climat.be/doc/belgiums-greenhouse-gas-inventory-1990-2023.pdf" TargetMode="External"/><Relationship Id="rId3" Type="http://schemas.openxmlformats.org/officeDocument/2006/relationships/hyperlink" Target="https://mobilit.belgium.be/nl/publications/de-reizen-van-de-belgen" TargetMode="External"/><Relationship Id="rId2" Type="http://schemas.openxmlformats.org/officeDocument/2006/relationships/hyperlink" Target="https://en.wikipedia.org/wiki/Energy_density" TargetMode="External"/><Relationship Id="rId16" Type="http://schemas.openxmlformats.org/officeDocument/2006/relationships/hyperlink" Target="https://statbel.fgov.be/nl/themas/mobiliteit/verkeer/voertuigenpark" TargetMode="External"/><Relationship Id="rId15" Type="http://schemas.openxmlformats.org/officeDocument/2006/relationships/hyperlink" Target="https://www.elia.be/nl/klanten/aansluiting/onthaalcapaciteit-van-het-net" TargetMode="External"/><Relationship Id="rId14" Type="http://schemas.openxmlformats.org/officeDocument/2006/relationships/hyperlink" Target="https://www.hln.be/binnenland/in-2035-zullen-datacentra-10-procent-van-belgische-elektriciteit-verbruiken~a9d50c71/#:~:text=Vorig%20jaar%20hebben%20de%20Belgische,Europese%20gemiddelde%20van%202%20procent." TargetMode="External"/><Relationship Id="rId13" Type="http://schemas.openxmlformats.org/officeDocument/2006/relationships/hyperlink" Target="https://www.anwb.nl/energie/energieverbruik/hoeveel-stroom-verbruikt-een-elektrische-fiets" TargetMode="External"/><Relationship Id="rId12" Type="http://schemas.openxmlformats.org/officeDocument/2006/relationships/hyperlink" Target="https://ev-database.org/car/3160/Volvo-EX40-Twin-Motor" TargetMode="External"/><Relationship Id="rId11" Type="http://schemas.openxmlformats.org/officeDocument/2006/relationships/hyperlink" Target="https://perspective2050.energyville.be/results/main-edition-2025" TargetMode="External"/><Relationship Id="rId10" Type="http://schemas.openxmlformats.org/officeDocument/2006/relationships/hyperlink" Target="https://ev-database.org/car/3034/Tesla-Model-3-Long-Range-RWD" TargetMode="External"/><Relationship Id="rId1" Type="http://schemas.openxmlformats.org/officeDocument/2006/relationships/hyperlink" Target="https://www.easa.europa.eu/en/domains/environment/eaer/overview-aviation-sec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8"/>
  <sheetViews>
    <sheetView tabSelected="1" topLeftCell="A206" workbookViewId="0">
      <selection activeCell="B247" sqref="B247"/>
    </sheetView>
  </sheetViews>
  <sheetFormatPr defaultColWidth="9" defaultRowHeight="15"/>
  <cols>
    <col min="1" max="1" width="27.375" customWidth="1"/>
    <col min="2" max="2" width="25.25" customWidth="1"/>
    <col min="3" max="3" width="18.625" customWidth="1"/>
    <col min="4" max="4" width="12.625"/>
  </cols>
  <sheetData>
    <row r="1" spans="1:1">
      <c r="A1" s="1" t="s">
        <v>0</v>
      </c>
    </row>
    <row r="3" spans="1:2">
      <c r="A3">
        <v>250000</v>
      </c>
      <c r="B3" t="s">
        <v>1</v>
      </c>
    </row>
    <row r="4" spans="1:4">
      <c r="A4">
        <v>120</v>
      </c>
      <c r="B4" t="s">
        <v>2</v>
      </c>
      <c r="C4">
        <f>A4/3.6</f>
        <v>33.3333333333333</v>
      </c>
      <c r="D4" t="s">
        <v>3</v>
      </c>
    </row>
    <row r="5" spans="1:2">
      <c r="A5">
        <f>0.5*A3*(C4)^2</f>
        <v>138888888.888889</v>
      </c>
      <c r="B5" t="s">
        <v>4</v>
      </c>
    </row>
    <row r="8" spans="1:1">
      <c r="A8" s="1" t="s">
        <v>5</v>
      </c>
    </row>
    <row r="10" spans="1:5">
      <c r="A10">
        <f>10441.12*1000*1000</f>
        <v>10441120000</v>
      </c>
      <c r="B10" t="s">
        <v>6</v>
      </c>
      <c r="E10" t="s">
        <v>7</v>
      </c>
    </row>
    <row r="11" spans="1:2">
      <c r="A11">
        <f>'[1]2.3 Cons transport'!O6+'[1]2.3 Cons transport'!N6</f>
        <v>4298.0667572</v>
      </c>
      <c r="B11" t="s">
        <v>8</v>
      </c>
    </row>
    <row r="13" spans="1:2">
      <c r="A13">
        <f>A10/(A11*1000)</f>
        <v>2429.25961596788</v>
      </c>
      <c r="B13" t="s">
        <v>9</v>
      </c>
    </row>
    <row r="14" spans="1:2">
      <c r="A14">
        <f>(A11*1000000000000)/A10</f>
        <v>411648.056645264</v>
      </c>
      <c r="B14" t="s">
        <v>10</v>
      </c>
    </row>
    <row r="17" spans="1:1">
      <c r="A17" s="1" t="s">
        <v>11</v>
      </c>
    </row>
    <row r="19" spans="1:5">
      <c r="A19" s="10" t="s">
        <v>12</v>
      </c>
      <c r="B19" t="s">
        <v>13</v>
      </c>
      <c r="E19" t="s">
        <v>14</v>
      </c>
    </row>
    <row r="20" spans="1:2">
      <c r="A20">
        <f>'[1]2.3 Cons transport'!E6</f>
        <v>190921.321537449</v>
      </c>
      <c r="B20" t="s">
        <v>8</v>
      </c>
    </row>
    <row r="22" spans="1:2">
      <c r="A22">
        <f>A19/(A20*1000)</f>
        <v>628.531161599267</v>
      </c>
      <c r="B22" t="s">
        <v>9</v>
      </c>
    </row>
    <row r="23" spans="1:2">
      <c r="A23">
        <f>A20*1000000000000/A19</f>
        <v>1591011.01281207</v>
      </c>
      <c r="B23" t="s">
        <v>10</v>
      </c>
    </row>
    <row r="25" spans="1:5">
      <c r="A25">
        <v>6000000</v>
      </c>
      <c r="B25" t="s">
        <v>15</v>
      </c>
      <c r="E25" t="s">
        <v>16</v>
      </c>
    </row>
    <row r="26" spans="1:2">
      <c r="A26">
        <v>13000</v>
      </c>
      <c r="B26" t="s">
        <v>17</v>
      </c>
    </row>
    <row r="27" spans="1:1">
      <c r="A27">
        <f>A25*A26</f>
        <v>78000000000</v>
      </c>
    </row>
    <row r="28" spans="1:2">
      <c r="A28">
        <f>ROUND(A19/A27,1)</f>
        <v>1.5</v>
      </c>
      <c r="B28" t="s">
        <v>18</v>
      </c>
    </row>
    <row r="29" spans="5:5">
      <c r="E29" t="s">
        <v>19</v>
      </c>
    </row>
    <row r="33" spans="1:1">
      <c r="A33" s="1" t="s">
        <v>20</v>
      </c>
    </row>
    <row r="35" spans="1:4">
      <c r="A35">
        <v>242</v>
      </c>
      <c r="B35" t="s">
        <v>21</v>
      </c>
      <c r="D35" t="s">
        <v>22</v>
      </c>
    </row>
    <row r="37" spans="1:4">
      <c r="A37">
        <v>370</v>
      </c>
      <c r="B37" t="s">
        <v>23</v>
      </c>
      <c r="C37" t="s">
        <v>24</v>
      </c>
      <c r="D37" t="s">
        <v>25</v>
      </c>
    </row>
    <row r="38" spans="1:2">
      <c r="A38">
        <f>365*24</f>
        <v>8760</v>
      </c>
      <c r="B38" t="s">
        <v>26</v>
      </c>
    </row>
    <row r="39" spans="1:2">
      <c r="A39">
        <v>0.4</v>
      </c>
      <c r="B39" t="s">
        <v>27</v>
      </c>
    </row>
    <row r="41" spans="1:2">
      <c r="A41">
        <f>A37*A38*A39</f>
        <v>1296480</v>
      </c>
      <c r="B41" t="s">
        <v>28</v>
      </c>
    </row>
    <row r="43" ht="15.75" spans="1:4">
      <c r="A43" s="3">
        <v>75</v>
      </c>
      <c r="B43" t="s">
        <v>28</v>
      </c>
      <c r="D43" t="s">
        <v>29</v>
      </c>
    </row>
    <row r="46" spans="1:1">
      <c r="A46" s="1" t="s">
        <v>30</v>
      </c>
    </row>
    <row r="48" spans="1:4">
      <c r="A48">
        <v>1089</v>
      </c>
      <c r="B48" t="s">
        <v>23</v>
      </c>
      <c r="D48" t="s">
        <v>31</v>
      </c>
    </row>
    <row r="49" spans="1:2">
      <c r="A49">
        <f>6*A48</f>
        <v>6534</v>
      </c>
      <c r="B49" t="s">
        <v>28</v>
      </c>
    </row>
    <row r="51" spans="1:2">
      <c r="A51">
        <v>144</v>
      </c>
      <c r="B51" t="s">
        <v>23</v>
      </c>
    </row>
    <row r="52" spans="1:4">
      <c r="A52">
        <f>A51*6</f>
        <v>864</v>
      </c>
      <c r="B52" t="s">
        <v>28</v>
      </c>
      <c r="C52" t="s">
        <v>32</v>
      </c>
      <c r="D52" t="s">
        <v>33</v>
      </c>
    </row>
    <row r="54" spans="1:4">
      <c r="A54">
        <v>200</v>
      </c>
      <c r="B54" t="s">
        <v>23</v>
      </c>
      <c r="C54" t="s">
        <v>34</v>
      </c>
      <c r="D54" t="s">
        <v>35</v>
      </c>
    </row>
    <row r="55" spans="1:4">
      <c r="A55">
        <v>800</v>
      </c>
      <c r="B55" t="s">
        <v>28</v>
      </c>
      <c r="D55" s="4" t="s">
        <v>36</v>
      </c>
    </row>
    <row r="58" spans="1:1">
      <c r="A58" s="1" t="s">
        <v>37</v>
      </c>
    </row>
    <row r="59" spans="4:4">
      <c r="D59" t="s">
        <v>38</v>
      </c>
    </row>
    <row r="60" spans="1:3">
      <c r="A60">
        <v>2.2</v>
      </c>
      <c r="B60" t="s">
        <v>39</v>
      </c>
      <c r="C60" t="s">
        <v>40</v>
      </c>
    </row>
    <row r="61" spans="1:3">
      <c r="A61">
        <v>3.5</v>
      </c>
      <c r="B61" t="s">
        <v>39</v>
      </c>
      <c r="C61" t="s">
        <v>41</v>
      </c>
    </row>
    <row r="63" spans="1:3">
      <c r="A63" s="5">
        <f>'[1]3.3 Wind elektriciteit'!C38</f>
        <v>8.0397</v>
      </c>
      <c r="B63" t="s">
        <v>42</v>
      </c>
      <c r="C63" t="s">
        <v>43</v>
      </c>
    </row>
    <row r="64" spans="1:2">
      <c r="A64" s="6">
        <f>ROUND((A63*1000)/(365*24*A60),2)</f>
        <v>0.42</v>
      </c>
      <c r="B64" t="s">
        <v>44</v>
      </c>
    </row>
    <row r="65" spans="1:1">
      <c r="A65" s="6"/>
    </row>
    <row r="66" spans="1:1">
      <c r="A66" s="6"/>
    </row>
    <row r="67" spans="1:3">
      <c r="A67">
        <f>A60*24*365*A64</f>
        <v>8094.24</v>
      </c>
      <c r="B67" t="s">
        <v>45</v>
      </c>
      <c r="C67" t="s">
        <v>46</v>
      </c>
    </row>
    <row r="68" spans="1:3">
      <c r="A68">
        <f>(A61*24*365*A64)</f>
        <v>12877.2</v>
      </c>
      <c r="B68" t="s">
        <v>45</v>
      </c>
      <c r="C68" t="s">
        <v>47</v>
      </c>
    </row>
    <row r="70" spans="1:1">
      <c r="A70" s="1" t="s">
        <v>48</v>
      </c>
    </row>
    <row r="71" spans="1:4">
      <c r="A71">
        <f>'[1]3.2 Elektriciteitsprod'!C38</f>
        <v>32.9279</v>
      </c>
      <c r="B71" t="s">
        <v>42</v>
      </c>
      <c r="D71" t="s">
        <v>49</v>
      </c>
    </row>
    <row r="72" spans="1:3">
      <c r="A72">
        <v>3.908</v>
      </c>
      <c r="B72" t="s">
        <v>39</v>
      </c>
      <c r="C72" t="s">
        <v>50</v>
      </c>
    </row>
    <row r="73" spans="1:3">
      <c r="A73">
        <f>ROUND((A72*24*365)/1000,2)</f>
        <v>34.23</v>
      </c>
      <c r="B73" t="s">
        <v>42</v>
      </c>
      <c r="C73" t="s">
        <v>51</v>
      </c>
    </row>
    <row r="74" spans="1:2">
      <c r="A74" s="6">
        <f>ROUND(A71/A73,2)</f>
        <v>0.96</v>
      </c>
      <c r="B74" t="s">
        <v>44</v>
      </c>
    </row>
    <row r="77" spans="1:1">
      <c r="A77" s="1" t="s">
        <v>52</v>
      </c>
    </row>
    <row r="79" spans="1:3">
      <c r="A79">
        <f>ROUND(('[1]1.2.1 Finale energie cons'!W38/'[1]1.2.1 Finale energie cons'!Z38)*100,1)</f>
        <v>17.5</v>
      </c>
      <c r="B79" t="s">
        <v>53</v>
      </c>
      <c r="C79" t="s">
        <v>54</v>
      </c>
    </row>
    <row r="81" spans="1:1">
      <c r="A81" s="1" t="s">
        <v>55</v>
      </c>
    </row>
    <row r="83" spans="1:4">
      <c r="A83">
        <v>3.3</v>
      </c>
      <c r="B83" t="s">
        <v>56</v>
      </c>
      <c r="D83" s="4" t="s">
        <v>57</v>
      </c>
    </row>
    <row r="84" spans="1:9">
      <c r="A84">
        <v>35</v>
      </c>
      <c r="B84" t="s">
        <v>58</v>
      </c>
      <c r="D84" s="4" t="s">
        <v>59</v>
      </c>
      <c r="I84" t="s">
        <v>60</v>
      </c>
    </row>
    <row r="85" spans="1:2">
      <c r="A85">
        <f>A83*A84</f>
        <v>115.5</v>
      </c>
      <c r="B85" t="s">
        <v>61</v>
      </c>
    </row>
    <row r="86" spans="1:4">
      <c r="A86">
        <v>43.6</v>
      </c>
      <c r="B86" t="s">
        <v>62</v>
      </c>
      <c r="D86" s="4" t="s">
        <v>63</v>
      </c>
    </row>
    <row r="87" spans="1:2">
      <c r="A87">
        <f>A86*10000000*A85</f>
        <v>50358000000</v>
      </c>
      <c r="B87" t="s">
        <v>64</v>
      </c>
    </row>
    <row r="88" spans="1:2">
      <c r="A88">
        <f>A87/1000/1000</f>
        <v>50358</v>
      </c>
      <c r="B88" t="s">
        <v>8</v>
      </c>
    </row>
    <row r="89" spans="1:2">
      <c r="A89">
        <f>(A88*1000000)/(A86*1000000000)</f>
        <v>1.155</v>
      </c>
      <c r="B89" t="s">
        <v>65</v>
      </c>
    </row>
    <row r="91" spans="1:1">
      <c r="A91" s="1" t="s">
        <v>66</v>
      </c>
    </row>
    <row r="92" spans="1:14">
      <c r="A92">
        <v>73056</v>
      </c>
      <c r="B92" t="s">
        <v>67</v>
      </c>
      <c r="C92">
        <f>ROUND(A92/SUM(A92:A96)*100,0)</f>
        <v>75</v>
      </c>
      <c r="D92" t="s">
        <v>68</v>
      </c>
      <c r="G92" s="4" t="s">
        <v>69</v>
      </c>
      <c r="N92" t="s">
        <v>70</v>
      </c>
    </row>
    <row r="93" spans="1:2">
      <c r="A93">
        <v>15302</v>
      </c>
      <c r="B93" t="s">
        <v>71</v>
      </c>
    </row>
    <row r="94" spans="1:4">
      <c r="A94">
        <v>8693</v>
      </c>
      <c r="B94" t="s">
        <v>72</v>
      </c>
      <c r="C94">
        <f>ROUND(A94/SUM(A92:A96)*100,0)</f>
        <v>9</v>
      </c>
      <c r="D94" t="s">
        <v>68</v>
      </c>
    </row>
    <row r="95" spans="1:2">
      <c r="A95">
        <v>-306</v>
      </c>
      <c r="B95" t="s">
        <v>73</v>
      </c>
    </row>
    <row r="96" spans="1:2">
      <c r="A96">
        <v>1170</v>
      </c>
      <c r="B96" t="s">
        <v>74</v>
      </c>
    </row>
    <row r="99" spans="1:1">
      <c r="A99" s="1" t="s">
        <v>75</v>
      </c>
    </row>
    <row r="100" spans="1:3">
      <c r="A100">
        <f>'[2]Data as Cross Table'!I22</f>
        <v>345400</v>
      </c>
      <c r="B100" t="s">
        <v>76</v>
      </c>
      <c r="C100" t="s">
        <v>77</v>
      </c>
    </row>
    <row r="101" spans="1:2">
      <c r="A101">
        <f>A100/100</f>
        <v>3454</v>
      </c>
      <c r="B101" t="s">
        <v>78</v>
      </c>
    </row>
    <row r="102" spans="1:6">
      <c r="A102">
        <v>2262</v>
      </c>
      <c r="B102" t="s">
        <v>23</v>
      </c>
      <c r="C102" t="s">
        <v>79</v>
      </c>
      <c r="F102" s="7" t="s">
        <v>80</v>
      </c>
    </row>
    <row r="103" spans="1:3">
      <c r="A103">
        <f>19.84+17+14.5+19.8+22.72+44+12+16.7+19.54</f>
        <v>186.1</v>
      </c>
      <c r="B103" t="s">
        <v>78</v>
      </c>
      <c r="C103" t="s">
        <v>81</v>
      </c>
    </row>
    <row r="104" spans="1:2">
      <c r="A104">
        <f>ROUND(A102/A103,1)</f>
        <v>12.2</v>
      </c>
      <c r="B104" t="s">
        <v>82</v>
      </c>
    </row>
    <row r="105" spans="1:3">
      <c r="A105">
        <f>A101*A104*365*24*A64</f>
        <v>155037072.96</v>
      </c>
      <c r="B105" t="s">
        <v>28</v>
      </c>
      <c r="C105" t="s">
        <v>83</v>
      </c>
    </row>
    <row r="107" spans="1:1">
      <c r="A107" s="1" t="s">
        <v>84</v>
      </c>
    </row>
    <row r="108" spans="1:2">
      <c r="A108">
        <f>ROUND('[2]Data as Cross Table'!$I$4/100,0)</f>
        <v>13506</v>
      </c>
      <c r="B108" t="s">
        <v>85</v>
      </c>
    </row>
    <row r="109" spans="1:3">
      <c r="A109">
        <v>0.23</v>
      </c>
      <c r="B109" t="s">
        <v>86</v>
      </c>
      <c r="C109" s="4" t="s">
        <v>87</v>
      </c>
    </row>
    <row r="110" spans="1:4">
      <c r="A110">
        <v>10</v>
      </c>
      <c r="B110" t="s">
        <v>82</v>
      </c>
      <c r="C110" t="s">
        <v>88</v>
      </c>
      <c r="D110" s="7" t="s">
        <v>89</v>
      </c>
    </row>
    <row r="111" spans="1:2">
      <c r="A111">
        <f>A110*A108*365*24*A109</f>
        <v>272118888</v>
      </c>
      <c r="B111" t="s">
        <v>28</v>
      </c>
    </row>
    <row r="113" spans="1:1">
      <c r="A113" s="1" t="s">
        <v>90</v>
      </c>
    </row>
    <row r="114" spans="1:2">
      <c r="A114">
        <f>ROUND('[2]Data as Cross Table'!$I$10/100,0)</f>
        <v>2835</v>
      </c>
      <c r="B114" t="s">
        <v>91</v>
      </c>
    </row>
    <row r="115" spans="1:2">
      <c r="A115">
        <f>ROUND('[2]Data as Cross Table'!$I$11/100,0)</f>
        <v>598</v>
      </c>
      <c r="B115" t="s">
        <v>92</v>
      </c>
    </row>
    <row r="116" spans="1:2">
      <c r="A116">
        <f>ROUND('[2]Data as Cross Table'!$I$13/100,0)</f>
        <v>153</v>
      </c>
      <c r="B116" t="s">
        <v>93</v>
      </c>
    </row>
    <row r="117" spans="1:2">
      <c r="A117">
        <f>ROUND('[2]Data as Cross Table'!$I$14/100,0)</f>
        <v>209</v>
      </c>
      <c r="B117" t="s">
        <v>94</v>
      </c>
    </row>
    <row r="118" spans="1:2">
      <c r="A118">
        <f>A114+A115+A116+A117</f>
        <v>3795</v>
      </c>
      <c r="B118" t="s">
        <v>95</v>
      </c>
    </row>
    <row r="119" spans="1:2">
      <c r="A119">
        <v>200</v>
      </c>
      <c r="B119" t="s">
        <v>96</v>
      </c>
    </row>
    <row r="120" spans="1:3">
      <c r="A120">
        <f>ROUND('[1]3.3 HEB elektriciteit'!D38/('[1]3.4 Capaciteit'!F38*365*24/1000),2)</f>
        <v>0.11</v>
      </c>
      <c r="B120" t="s">
        <v>97</v>
      </c>
      <c r="C120" t="s">
        <v>98</v>
      </c>
    </row>
    <row r="121" spans="1:2">
      <c r="A121">
        <v>0.25</v>
      </c>
      <c r="B121" t="s">
        <v>99</v>
      </c>
    </row>
    <row r="122" spans="1:2">
      <c r="A122">
        <f>((A119*(1000000*(A118))*365*24*A120)/1000000)*A121</f>
        <v>182843100</v>
      </c>
      <c r="B122" t="s">
        <v>28</v>
      </c>
    </row>
    <row r="125" spans="1:2">
      <c r="A125" s="1" t="s">
        <v>100</v>
      </c>
      <c r="B125" s="4" t="s">
        <v>101</v>
      </c>
    </row>
    <row r="126" spans="1:2">
      <c r="A126">
        <v>33</v>
      </c>
      <c r="B126" t="s">
        <v>102</v>
      </c>
    </row>
    <row r="127" spans="1:2">
      <c r="A127">
        <v>20.3</v>
      </c>
      <c r="B127" t="s">
        <v>103</v>
      </c>
    </row>
    <row r="128" spans="1:2">
      <c r="A128">
        <v>99.3</v>
      </c>
      <c r="B128" t="s">
        <v>104</v>
      </c>
    </row>
    <row r="130" spans="1:1">
      <c r="A130" s="1" t="s">
        <v>105</v>
      </c>
    </row>
    <row r="131" spans="1:3">
      <c r="A131">
        <v>7</v>
      </c>
      <c r="B131" t="s">
        <v>106</v>
      </c>
      <c r="C131" t="s">
        <v>107</v>
      </c>
    </row>
    <row r="132" spans="1:3">
      <c r="A132">
        <v>35</v>
      </c>
      <c r="B132" t="s">
        <v>58</v>
      </c>
      <c r="C132" s="4" t="s">
        <v>108</v>
      </c>
    </row>
    <row r="133" spans="1:2">
      <c r="A133">
        <f>A132*A131</f>
        <v>245</v>
      </c>
      <c r="B133" t="s">
        <v>109</v>
      </c>
    </row>
    <row r="135" spans="1:3">
      <c r="A135">
        <v>205</v>
      </c>
      <c r="B135" t="s">
        <v>110</v>
      </c>
      <c r="C135" s="4" t="s">
        <v>111</v>
      </c>
    </row>
    <row r="136" spans="1:2">
      <c r="A136">
        <f>A135*100</f>
        <v>20500</v>
      </c>
      <c r="B136" t="s">
        <v>112</v>
      </c>
    </row>
    <row r="137" spans="1:2">
      <c r="A137">
        <f>A136*0.0036</f>
        <v>73.8</v>
      </c>
      <c r="B137" t="s">
        <v>109</v>
      </c>
    </row>
    <row r="139" spans="1:2">
      <c r="A139">
        <f>ROUND(1/(A137/A133),1)</f>
        <v>3.3</v>
      </c>
      <c r="B139" t="s">
        <v>113</v>
      </c>
    </row>
    <row r="141" spans="1:9">
      <c r="A141">
        <v>136</v>
      </c>
      <c r="B141" t="s">
        <v>110</v>
      </c>
      <c r="C141" s="7" t="s">
        <v>114</v>
      </c>
      <c r="I141" t="s">
        <v>115</v>
      </c>
    </row>
    <row r="143" spans="1:2">
      <c r="A143">
        <f>A141*100*0.0036</f>
        <v>48.96</v>
      </c>
      <c r="B143" t="s">
        <v>109</v>
      </c>
    </row>
    <row r="144" spans="1:2">
      <c r="A144">
        <f>ROUND(1/(A143/A133),2)</f>
        <v>5</v>
      </c>
      <c r="B144" t="s">
        <v>116</v>
      </c>
    </row>
    <row r="146" spans="1:2">
      <c r="A146" s="1" t="s">
        <v>117</v>
      </c>
      <c r="B146" s="4" t="s">
        <v>118</v>
      </c>
    </row>
    <row r="147" spans="1:2">
      <c r="A147">
        <v>21</v>
      </c>
      <c r="B147" t="s">
        <v>119</v>
      </c>
    </row>
    <row r="148" spans="1:2">
      <c r="A148">
        <v>35</v>
      </c>
      <c r="B148" t="s">
        <v>120</v>
      </c>
    </row>
    <row r="149" spans="1:2">
      <c r="A149">
        <f>AVERAGE(A147:A148)</f>
        <v>28</v>
      </c>
      <c r="B149" t="s">
        <v>121</v>
      </c>
    </row>
    <row r="151" spans="1:2">
      <c r="A151">
        <v>36</v>
      </c>
      <c r="B151" t="s">
        <v>122</v>
      </c>
    </row>
    <row r="152" spans="1:2">
      <c r="A152">
        <v>23</v>
      </c>
      <c r="B152" t="s">
        <v>123</v>
      </c>
    </row>
    <row r="154" spans="1:2">
      <c r="A154">
        <v>8</v>
      </c>
      <c r="B154" t="s">
        <v>124</v>
      </c>
    </row>
    <row r="156" spans="1:2">
      <c r="A156">
        <v>100</v>
      </c>
      <c r="B156" t="s">
        <v>125</v>
      </c>
    </row>
    <row r="158" spans="1:1">
      <c r="A158" s="1" t="s">
        <v>126</v>
      </c>
    </row>
    <row r="159" spans="1:2">
      <c r="A159">
        <v>2000</v>
      </c>
      <c r="B159" t="s">
        <v>127</v>
      </c>
    </row>
    <row r="161" spans="1:1">
      <c r="A161" s="1" t="s">
        <v>128</v>
      </c>
    </row>
    <row r="162" spans="1:2">
      <c r="A162">
        <f>ROUND('[1]2.3 Cons transport'!E6/A132/1000,2)</f>
        <v>5.45</v>
      </c>
      <c r="B162" t="s">
        <v>129</v>
      </c>
    </row>
    <row r="164" spans="1:1">
      <c r="A164" s="1" t="s">
        <v>130</v>
      </c>
    </row>
    <row r="165" spans="1:2">
      <c r="A165">
        <v>5</v>
      </c>
      <c r="B165" t="s">
        <v>131</v>
      </c>
    </row>
    <row r="166" spans="1:2">
      <c r="A166">
        <v>11000</v>
      </c>
      <c r="B166" t="s">
        <v>131</v>
      </c>
    </row>
    <row r="168" spans="1:1">
      <c r="A168" s="1" t="s">
        <v>132</v>
      </c>
    </row>
    <row r="169" spans="1:1">
      <c r="A169">
        <f>ROUND('[1]5.2 Prijs elek'!$G$21/'[1]5.1 Prijs aardgas'!$G$21,2)</f>
        <v>3.8</v>
      </c>
    </row>
    <row r="171" spans="1:1">
      <c r="A171" s="1" t="s">
        <v>133</v>
      </c>
    </row>
    <row r="172" spans="1:2">
      <c r="A172">
        <f>ROUND(('[1]2.1 Cons huishoudens'!C12+'[1]2.1 Cons huishoudens'!E12)/'[1]1.2.2 Finale cons per sector'!V38*100,0)</f>
        <v>86</v>
      </c>
      <c r="B172" t="s">
        <v>134</v>
      </c>
    </row>
    <row r="174" spans="1:1">
      <c r="A174" s="1" t="s">
        <v>135</v>
      </c>
    </row>
    <row r="175" spans="1:3">
      <c r="A175">
        <v>6</v>
      </c>
      <c r="B175" t="s">
        <v>136</v>
      </c>
      <c r="C175" s="4" t="s">
        <v>137</v>
      </c>
    </row>
    <row r="176" spans="1:2">
      <c r="A176">
        <f>A175*0.0036</f>
        <v>0.0216</v>
      </c>
      <c r="B176" t="s">
        <v>138</v>
      </c>
    </row>
    <row r="177" spans="1:2">
      <c r="A177">
        <f>ROUND((A133/100)/A176,0)</f>
        <v>113</v>
      </c>
      <c r="B177" t="s">
        <v>139</v>
      </c>
    </row>
    <row r="179" spans="1:1">
      <c r="A179" s="1" t="s">
        <v>140</v>
      </c>
    </row>
    <row r="180" spans="1:3">
      <c r="A180">
        <v>3.2</v>
      </c>
      <c r="B180" t="s">
        <v>141</v>
      </c>
      <c r="C180" s="4" t="s">
        <v>142</v>
      </c>
    </row>
    <row r="181" spans="1:2">
      <c r="A181">
        <v>16</v>
      </c>
      <c r="B181" t="s">
        <v>143</v>
      </c>
    </row>
    <row r="183" spans="1:1">
      <c r="A183" s="1" t="s">
        <v>144</v>
      </c>
    </row>
    <row r="184" spans="1:2">
      <c r="A184">
        <v>80</v>
      </c>
      <c r="B184" t="s">
        <v>145</v>
      </c>
    </row>
    <row r="185" spans="1:3">
      <c r="A185">
        <v>254240</v>
      </c>
      <c r="B185" t="s">
        <v>146</v>
      </c>
      <c r="C185" s="4" t="s">
        <v>147</v>
      </c>
    </row>
    <row r="186" spans="1:2">
      <c r="A186" s="8">
        <v>6089564</v>
      </c>
      <c r="B186" t="s">
        <v>148</v>
      </c>
    </row>
    <row r="187" spans="1:2">
      <c r="A187">
        <f>ROUND(100*A185/A186,1)</f>
        <v>4.2</v>
      </c>
      <c r="B187" t="s">
        <v>149</v>
      </c>
    </row>
    <row r="188" spans="1:2">
      <c r="A188">
        <f>A184*A185</f>
        <v>20339200</v>
      </c>
      <c r="B188" t="s">
        <v>150</v>
      </c>
    </row>
    <row r="189" spans="1:2">
      <c r="A189">
        <f>A184*A186</f>
        <v>487165120</v>
      </c>
      <c r="B189" t="s">
        <v>151</v>
      </c>
    </row>
    <row r="192" spans="1:1">
      <c r="A192" s="1" t="s">
        <v>152</v>
      </c>
    </row>
    <row r="193" spans="1:2">
      <c r="A193">
        <f>'[1]1.2.1 Finale energie cons'!T38</f>
        <v>729760.1704</v>
      </c>
      <c r="B193" t="s">
        <v>153</v>
      </c>
    </row>
    <row r="194" spans="1:2">
      <c r="A194">
        <f>'[1]1.2.2 Finale cons per sector'!X38</f>
        <v>275122.656554706</v>
      </c>
      <c r="B194" t="s">
        <v>154</v>
      </c>
    </row>
    <row r="195" spans="1:2">
      <c r="A195">
        <f>ROUND(A193-A194,2)</f>
        <v>454637.51</v>
      </c>
      <c r="B195" t="s">
        <v>155</v>
      </c>
    </row>
    <row r="197" spans="1:2">
      <c r="A197">
        <f>ROUND(A195+'[1]1.2.1 Finale energie cons'!U38+'[1]1.2.1 Finale energie cons'!V38,2)</f>
        <v>857062.96</v>
      </c>
      <c r="B197" t="s">
        <v>156</v>
      </c>
    </row>
    <row r="199" spans="1:1">
      <c r="A199" s="1" t="s">
        <v>157</v>
      </c>
    </row>
    <row r="200" spans="1:2">
      <c r="A200">
        <v>8</v>
      </c>
      <c r="B200" t="s">
        <v>158</v>
      </c>
    </row>
    <row r="201" spans="1:2">
      <c r="A201">
        <f>A200*365*24*A74</f>
        <v>67276.8</v>
      </c>
      <c r="B201" t="s">
        <v>45</v>
      </c>
    </row>
    <row r="203" spans="1:1">
      <c r="A203" s="1" t="s">
        <v>159</v>
      </c>
    </row>
    <row r="204" spans="1:2">
      <c r="A204">
        <f>'[1]1.2.1 Finale energie cons'!Z38</f>
        <v>1524212.96003199</v>
      </c>
      <c r="B204" t="s">
        <v>8</v>
      </c>
    </row>
    <row r="205" spans="1:2">
      <c r="A205">
        <f>A204-A194</f>
        <v>1249090.30347728</v>
      </c>
      <c r="B205" t="s">
        <v>160</v>
      </c>
    </row>
    <row r="207" spans="1:1">
      <c r="A207" s="1" t="s">
        <v>161</v>
      </c>
    </row>
    <row r="208" spans="1:2">
      <c r="A208">
        <f>'[1]3.2 Elektriciteitsprod'!C38</f>
        <v>32.9279</v>
      </c>
      <c r="B208" t="s">
        <v>162</v>
      </c>
    </row>
    <row r="209" spans="1:2">
      <c r="A209">
        <f>'[1]3.2 Elektriciteitsprod'!G38</f>
        <v>27.4729</v>
      </c>
      <c r="B209" t="s">
        <v>163</v>
      </c>
    </row>
    <row r="210" spans="1:2">
      <c r="A210">
        <f>'[1]3.2 Elektriciteitsprod'!O38</f>
        <v>83.6598</v>
      </c>
      <c r="B210" t="s">
        <v>164</v>
      </c>
    </row>
    <row r="212" spans="1:2">
      <c r="A212">
        <f>ROUND(100*(A208/A210),0)</f>
        <v>39</v>
      </c>
      <c r="B212" t="s">
        <v>165</v>
      </c>
    </row>
    <row r="213" spans="1:2">
      <c r="A213">
        <f>ROUND(100*(A209/A210),0)</f>
        <v>33</v>
      </c>
      <c r="B213" t="s">
        <v>166</v>
      </c>
    </row>
    <row r="215" spans="1:2">
      <c r="A215">
        <f>ROUND(A212+A213,0)</f>
        <v>72</v>
      </c>
      <c r="B215" t="s">
        <v>167</v>
      </c>
    </row>
    <row r="217" spans="1:2">
      <c r="A217">
        <f>ROUND(100*(A208+A209)/(A205*0.000277778),0)</f>
        <v>17</v>
      </c>
      <c r="B217" t="s">
        <v>168</v>
      </c>
    </row>
    <row r="218" spans="1:2">
      <c r="A218">
        <f>ROUND(100*A209/(A205*0.000277778),0)</f>
        <v>8</v>
      </c>
      <c r="B218" t="s">
        <v>169</v>
      </c>
    </row>
    <row r="219" spans="1:2">
      <c r="A219">
        <f>ROUND(100*A208/(A205*0.000277778),0)</f>
        <v>9</v>
      </c>
      <c r="B219" t="s">
        <v>170</v>
      </c>
    </row>
    <row r="221" spans="1:2">
      <c r="A221">
        <f>100-A217</f>
        <v>83</v>
      </c>
      <c r="B221" t="s">
        <v>171</v>
      </c>
    </row>
    <row r="223" spans="1:1">
      <c r="A223" s="1" t="s">
        <v>172</v>
      </c>
    </row>
    <row r="224" spans="1:2">
      <c r="A224" s="9">
        <v>18</v>
      </c>
      <c r="B224" t="s">
        <v>173</v>
      </c>
    </row>
    <row r="225" spans="1:2">
      <c r="A225">
        <v>1.08</v>
      </c>
      <c r="B225" t="s">
        <v>174</v>
      </c>
    </row>
    <row r="226" spans="1:2">
      <c r="A226">
        <f>A225/31</f>
        <v>0.0348387096774194</v>
      </c>
      <c r="B226" t="s">
        <v>175</v>
      </c>
    </row>
    <row r="227" spans="1:2">
      <c r="A227">
        <f>A226/A224</f>
        <v>0.00193548387096774</v>
      </c>
      <c r="B227" t="s">
        <v>176</v>
      </c>
    </row>
    <row r="228" spans="1:2">
      <c r="A228">
        <f>1000000*(A205*0.000277778)/365/11600000</f>
        <v>0.0819484663012074</v>
      </c>
      <c r="B228" t="s">
        <v>177</v>
      </c>
    </row>
    <row r="229" spans="1:2">
      <c r="A229">
        <f>ROUND(A228/A227,0)</f>
        <v>42</v>
      </c>
      <c r="B229" t="s">
        <v>178</v>
      </c>
    </row>
    <row r="231" spans="1:2">
      <c r="A231">
        <f>95.6/1000</f>
        <v>0.0956</v>
      </c>
      <c r="B231" t="s">
        <v>179</v>
      </c>
    </row>
    <row r="232" spans="1:2">
      <c r="A232">
        <f>A231/31</f>
        <v>0.00308387096774194</v>
      </c>
      <c r="B232" t="s">
        <v>180</v>
      </c>
    </row>
    <row r="233" spans="1:2">
      <c r="A233">
        <f>A232/A224</f>
        <v>0.000171326164874552</v>
      </c>
      <c r="B233" t="s">
        <v>181</v>
      </c>
    </row>
    <row r="234" spans="1:2">
      <c r="A234">
        <f>ROUND(A228/A233,0)</f>
        <v>478</v>
      </c>
      <c r="B234" t="s">
        <v>182</v>
      </c>
    </row>
    <row r="236" spans="1:2">
      <c r="A236">
        <v>200</v>
      </c>
      <c r="B236" t="s">
        <v>183</v>
      </c>
    </row>
    <row r="237" spans="1:2">
      <c r="A237">
        <f>A229*A236</f>
        <v>8400</v>
      </c>
      <c r="B237" t="s">
        <v>184</v>
      </c>
    </row>
    <row r="238" spans="1:2">
      <c r="A238">
        <f>A234*A236</f>
        <v>95600</v>
      </c>
      <c r="B238" t="s">
        <v>184</v>
      </c>
    </row>
    <row r="240" spans="1:2">
      <c r="A240">
        <v>2</v>
      </c>
      <c r="B240" t="s">
        <v>185</v>
      </c>
    </row>
    <row r="241" spans="1:2">
      <c r="A241">
        <f>A229*A240</f>
        <v>84</v>
      </c>
      <c r="B241" t="s">
        <v>186</v>
      </c>
    </row>
    <row r="242" spans="1:2">
      <c r="A242">
        <f>A234*A240</f>
        <v>956</v>
      </c>
      <c r="B242" t="s">
        <v>186</v>
      </c>
    </row>
    <row r="245" spans="1:1">
      <c r="A245" s="1" t="s">
        <v>187</v>
      </c>
    </row>
    <row r="246" spans="1:2">
      <c r="A246">
        <f>ROUND(A141/A28,2)</f>
        <v>90.67</v>
      </c>
      <c r="B246" t="s">
        <v>188</v>
      </c>
    </row>
    <row r="247" spans="1:2">
      <c r="A247">
        <f>168/A28</f>
        <v>112</v>
      </c>
      <c r="B247" t="s">
        <v>189</v>
      </c>
    </row>
    <row r="248" spans="1:2">
      <c r="A248">
        <f>ROUND(223/A28,2)</f>
        <v>148.67</v>
      </c>
      <c r="B248" t="s">
        <v>190</v>
      </c>
    </row>
  </sheetData>
  <hyperlinks>
    <hyperlink ref="D83" r:id="rId1" display="https://www.easa.europa.eu/en/domains/environment/eaer/overview-aviation-sector"/>
    <hyperlink ref="D84" r:id="rId2" display="https://en.wikipedia.org/wiki/Energy_density"/>
    <hyperlink ref="D86" r:id="rId3" display="https://mobilit.belgium.be/nl/publications/de-reizen-van-de-belgen"/>
    <hyperlink ref="G92" r:id="rId4" display="https://climat.be/doc/belgiums-greenhouse-gas-inventory-1990-2023.pdf"/>
    <hyperlink ref="F102" r:id="rId5" display="https://www.belgianoffshoreplatform.be/en/projects/"/>
    <hyperlink ref="D110" r:id="rId6" display="https://south.euneighbours.eu/wp-content/uploads/2025/04/JRC139999_01.pdf" tooltip="https://south.euneighbours.eu/wp-content/uploads/2025/04/JRC139999_01.pdf"/>
    <hyperlink ref="C109" r:id="rId7" display="https://iea-wind.org/wp-content/uploads/2023/11/ECWE_2022.pdf"/>
    <hyperlink ref="B125" r:id="rId8" display="https://energyville.be/en/blogs/how-much-renewable-electricity-can-be-generated-within-the-belgian-borders/"/>
    <hyperlink ref="C132" r:id="rId9" display="https://nl.wikipedia.org/wiki/Benzine#Energetische_waarde"/>
    <hyperlink ref="C141" r:id="rId10" display="https://ev-database.org/car/3034/Tesla-Model-3-Long-Range-RWD"/>
    <hyperlink ref="B146" r:id="rId11" display="https://perspective2050.energyville.be/results/main-edition-2025"/>
    <hyperlink ref="C135" r:id="rId12" display="https://ev-database.org/car/3160/Volvo-EX40-Twin-Motor"/>
    <hyperlink ref="C175" r:id="rId13" display="https://www.anwb.nl/energie/energieverbruik/hoeveel-stroom-verbruikt-een-elektrische-fiets"/>
    <hyperlink ref="C180" r:id="rId14" display="https://www.hln.be/binnenland/in-2035-zullen-datacentra-10-procent-van-belgische-elektriciteit-verbruiken~a9d50c71/#:~:text=Vorig%20jaar%20hebben%20de%20Belgische,Europese%20gemiddelde%20van%202%20procent."/>
    <hyperlink ref="D55" r:id="rId15" display="https://www.elia.be/nl/klanten/aansluiting/onthaalcapaciteit-van-het-net"/>
    <hyperlink ref="C185" r:id="rId16" display="https://statbel.fgov.be/nl/themas/mobiliteit/verkeer/voertuigenpark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2025-07-19T09:03:00Z</dcterms:created>
  <dcterms:modified xsi:type="dcterms:W3CDTF">2025-08-21T17:30:22Z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1033-11.1.0.11719</vt:lpwstr>
  </property>
</Properties>
</file>